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465" tabRatio="755" activeTab="0"/>
  </bookViews>
  <sheets>
    <sheet name="GPM - BWPD - POWER" sheetId="1" r:id="rId1"/>
    <sheet name="Simple Economics" sheetId="2" r:id="rId2"/>
  </sheets>
  <definedNames>
    <definedName name="_xlnm.Print_Area" localSheetId="1">'Simple Economics'!$A$1:$K$35</definedName>
  </definedNames>
  <calcPr fullCalcOnLoad="1" iterate="1" iterateCount="30" iterateDelta="0.001"/>
</workbook>
</file>

<file path=xl/comments1.xml><?xml version="1.0" encoding="utf-8"?>
<comments xmlns="http://schemas.openxmlformats.org/spreadsheetml/2006/main">
  <authors>
    <author>Halley Dickey</author>
  </authors>
  <commentList>
    <comment ref="C10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Insert either GPM here, or BWPD below.  Note that BWPD is calculated and expresesd as GPM to the right.</t>
        </r>
      </text>
    </comment>
    <comment ref="C15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Decide what you are comfortable with for an exit temp based on the fluid chemistry.</t>
        </r>
      </text>
    </comment>
    <comment ref="C17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Estimate the Net efficiency from the chart.  AC will be only slightly less.</t>
        </r>
      </text>
    </comment>
    <comment ref="F18" authorId="0">
      <text>
        <r>
          <rPr>
            <b/>
            <sz val="8"/>
            <rFont val="Tahoma"/>
            <family val="2"/>
          </rPr>
          <t>Halley Dickey:</t>
        </r>
        <r>
          <rPr>
            <sz val="8"/>
            <rFont val="Tahoma"/>
            <family val="2"/>
          </rPr>
          <t xml:space="preserve">
This is the nominal nameplate size, and represents a gress output estimate, based on total ORC plant parasitics</t>
        </r>
      </text>
    </comment>
  </commentList>
</comments>
</file>

<file path=xl/comments2.xml><?xml version="1.0" encoding="utf-8"?>
<comments xmlns="http://schemas.openxmlformats.org/spreadsheetml/2006/main">
  <authors>
    <author>Halley Dickey</author>
  </authors>
  <commentList>
    <comment ref="C12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If you have an artesian well or don't need to account for parasitic pumping, insert 0.</t>
        </r>
      </text>
    </comment>
    <comment ref="C19" authorId="0">
      <text>
        <r>
          <rPr>
            <b/>
            <sz val="8"/>
            <rFont val="Tahoma"/>
            <family val="2"/>
          </rPr>
          <t>Halley Dickey:</t>
        </r>
        <r>
          <rPr>
            <sz val="8"/>
            <rFont val="Tahoma"/>
            <family val="2"/>
          </rPr>
          <t xml:space="preserve">
Contact representative for current pricing estimates.</t>
        </r>
      </text>
    </comment>
    <comment ref="C20" authorId="0">
      <text>
        <r>
          <rPr>
            <b/>
            <sz val="8"/>
            <rFont val="Tahoma"/>
            <family val="2"/>
          </rPr>
          <t>Halley Dickey:</t>
        </r>
        <r>
          <rPr>
            <sz val="8"/>
            <rFont val="Tahoma"/>
            <family val="2"/>
          </rPr>
          <t xml:space="preserve">
Installed costs vary considerably, from 25% to 100% of  equipment cost as a rule of thumb.  For firm installation pricing, contact a qualified contractor.</t>
        </r>
      </text>
    </comment>
  </commentList>
</comments>
</file>

<file path=xl/sharedStrings.xml><?xml version="1.0" encoding="utf-8"?>
<sst xmlns="http://schemas.openxmlformats.org/spreadsheetml/2006/main" count="80" uniqueCount="59">
  <si>
    <t>Customer:</t>
  </si>
  <si>
    <t>Location:</t>
  </si>
  <si>
    <t>Date:</t>
  </si>
  <si>
    <t>Reviewer:</t>
  </si>
  <si>
    <t>F</t>
  </si>
  <si>
    <t>Net Installed Cost</t>
  </si>
  <si>
    <t>System Availability:</t>
  </si>
  <si>
    <t>Simple Payback</t>
  </si>
  <si>
    <t>Unit Selection</t>
  </si>
  <si>
    <t>Total Installed Cost</t>
  </si>
  <si>
    <t>Electric Energy Rate</t>
  </si>
  <si>
    <t>Simple Payback (Years)</t>
  </si>
  <si>
    <t>Resource Temp - Quantity:</t>
  </si>
  <si>
    <t>Plant Operation-Maintenance</t>
  </si>
  <si>
    <t>Developer - Customer:</t>
  </si>
  <si>
    <t>Project Location:</t>
  </si>
  <si>
    <t>Net Electric Energy Production:</t>
  </si>
  <si>
    <t>Net Annual Energy Revenue (First Year)</t>
  </si>
  <si>
    <t>Net Plant Electrical Ouptut:</t>
  </si>
  <si>
    <t>Development Costs</t>
  </si>
  <si>
    <t>Annual Energy Production (First Year)</t>
  </si>
  <si>
    <t>Facility Electric Information</t>
  </si>
  <si>
    <t>TAS Electrical Output Each - Total (Net):</t>
  </si>
  <si>
    <t>Electric Energy Rate - Power Sale:</t>
  </si>
  <si>
    <t>Note:   Input either gpm or bwpd</t>
  </si>
  <si>
    <t>Hot Liquid Flow Rate</t>
  </si>
  <si>
    <t>gpm</t>
  </si>
  <si>
    <t>bwpd</t>
  </si>
  <si>
    <t>bwph</t>
  </si>
  <si>
    <t>lb wph</t>
  </si>
  <si>
    <t>Hot Liquid Temp In</t>
  </si>
  <si>
    <t>Hot Liquid Temp Out</t>
  </si>
  <si>
    <t>Enthalpy</t>
  </si>
  <si>
    <t>btuh</t>
  </si>
  <si>
    <t>Cycle Efficiency</t>
  </si>
  <si>
    <t>Power Output # 1A</t>
  </si>
  <si>
    <t>KW</t>
  </si>
  <si>
    <t>Enthaltpy</t>
  </si>
  <si>
    <t>btu</t>
  </si>
  <si>
    <t>Power Output # 2B</t>
  </si>
  <si>
    <t>The assumptions made in this Simple Economic Analysis are indicative and for informational purposes only and are non-binding.  Actual equipment and financial performance are dependent upon site application, design, site operating conditions, economic and financial conditions and are not guaranteed.  These results are not a quotation, proposal, contract, or a guarantee of performance.</t>
  </si>
  <si>
    <t>ORC Model:</t>
  </si>
  <si>
    <t xml:space="preserve">  Parasitics:  Production + Injection</t>
  </si>
  <si>
    <t xml:space="preserve">  Tax Credit</t>
  </si>
  <si>
    <t xml:space="preserve">  Rec's Credits</t>
  </si>
  <si>
    <t xml:space="preserve">  Emission Credits</t>
  </si>
  <si>
    <t>MW</t>
  </si>
  <si>
    <t>Case # 1:  Base Case</t>
  </si>
  <si>
    <r>
      <t>Case # 2: Optional Case</t>
    </r>
    <r>
      <rPr>
        <sz val="10"/>
        <rFont val="Arial"/>
        <family val="2"/>
      </rPr>
      <t xml:space="preserve"> (try different combinations)</t>
    </r>
  </si>
  <si>
    <t>* Please provide your Inputs</t>
  </si>
  <si>
    <t>* Outputs (calculated)</t>
  </si>
  <si>
    <t>POWER ECONOMICS ESTIMATOR (GPM - BWPD)</t>
  </si>
  <si>
    <t>SIMPLE POWER ECONOMIC ANALYSIS</t>
  </si>
  <si>
    <t>ABC Co.</t>
  </si>
  <si>
    <t>Anywhere, US</t>
  </si>
  <si>
    <t>Name</t>
  </si>
  <si>
    <t>TAS ORC Total Equipment Cost Estimate</t>
  </si>
  <si>
    <t>BOP &amp; Installation Estimate</t>
  </si>
  <si>
    <t>Power Economics Tool  R.1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</si>
</sst>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0.0000"/>
    <numFmt numFmtId="171" formatCode="_(* #,##0.000_);_(* \(#,##0.000\);_(* &quot;-&quot;???_);_(@_)"/>
    <numFmt numFmtId="172" formatCode="0.00000"/>
    <numFmt numFmtId="173" formatCode="0.000000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"/>
    <numFmt numFmtId="179" formatCode="m/d"/>
    <numFmt numFmtId="180" formatCode="m/d/yy"/>
    <numFmt numFmtId="181" formatCode="[$€-2]\ #,##0.00_);[Red]\([$€-2]\ #,##0.00\)"/>
    <numFmt numFmtId="182" formatCode="0.0000E+00"/>
    <numFmt numFmtId="183" formatCode="&quot;$&quot;#,##0\ &quot;/kW&quot;"/>
    <numFmt numFmtId="184" formatCode="#\ &quot;kW&quot;"/>
    <numFmt numFmtId="185" formatCode="#,##0\ &quot;MBH&quot;"/>
    <numFmt numFmtId="186" formatCode="#,##0\ &quot;RT&quot;"/>
    <numFmt numFmtId="187" formatCode="#,##0\ &quot;tons&quot;"/>
    <numFmt numFmtId="188" formatCode="#,##0.00\ &quot;MMBTU/hr&quot;"/>
    <numFmt numFmtId="189" formatCode="#,##0\ &quot;BTU/hr&quot;"/>
    <numFmt numFmtId="190" formatCode="0.00\ &quot;¢/kWhr&quot;"/>
    <numFmt numFmtId="191" formatCode="&quot;$&quot;#,##0.00\ &quot;/MMBTU&quot;"/>
    <numFmt numFmtId="192" formatCode="[$$-409]#,##0_);[Red]\([$$-409]#,##0\)"/>
    <numFmt numFmtId="193" formatCode="[$$-409]#,##0_);\([$$-409]#,##0\)"/>
    <numFmt numFmtId="194" formatCode="#,##0\ &quot;kWh&quot;"/>
    <numFmt numFmtId="195" formatCode="#,##0\ &quot;MMBTU&quot;"/>
    <numFmt numFmtId="196" formatCode="0.0\ &quot;¢/kWhr&quot;"/>
    <numFmt numFmtId="197" formatCode="#0\ &quot;acres of trees&quot;"/>
    <numFmt numFmtId="198" formatCode="#0\ &quot;cars&quot;"/>
    <numFmt numFmtId="199" formatCode="#,##0.0"/>
    <numFmt numFmtId="200" formatCode="mm/dd/yy"/>
    <numFmt numFmtId="201" formatCode="&quot;$&quot;#,##0.000_);[Red]\(&quot;$&quot;#,##0.000\)"/>
    <numFmt numFmtId="202" formatCode="0.000000E+00"/>
    <numFmt numFmtId="203" formatCode="&quot;$&quot;#,##0"/>
    <numFmt numFmtId="204" formatCode="#\ &quot;GPM&quot;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5.75"/>
      <color indexed="8"/>
      <name val="Arial"/>
      <family val="0"/>
    </font>
    <font>
      <b/>
      <sz val="9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18"/>
      <name val="Arial"/>
      <family val="2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rgb="FF000680"/>
      <name val="Arial"/>
      <family val="2"/>
    </font>
    <font>
      <sz val="18"/>
      <color rgb="FF000680"/>
      <name val="Arial"/>
      <family val="2"/>
    </font>
    <font>
      <b/>
      <sz val="24"/>
      <color rgb="FF00068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9" fontId="0" fillId="33" borderId="0" xfId="0" applyNumberForma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167" fontId="0" fillId="33" borderId="0" xfId="0" applyNumberFormat="1" applyFill="1" applyAlignment="1">
      <alignment vertical="center"/>
    </xf>
    <xf numFmtId="0" fontId="8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 horizontal="right" vertical="center"/>
    </xf>
    <xf numFmtId="0" fontId="8" fillId="33" borderId="10" xfId="0" applyFont="1" applyFill="1" applyBorder="1" applyAlignment="1">
      <alignment horizontal="left" vertical="center"/>
    </xf>
    <xf numFmtId="187" fontId="8" fillId="33" borderId="0" xfId="42" applyNumberFormat="1" applyFont="1" applyFill="1" applyBorder="1" applyAlignment="1">
      <alignment horizontal="center" vertical="center"/>
    </xf>
    <xf numFmtId="189" fontId="0" fillId="33" borderId="0" xfId="42" applyNumberFormat="1" applyFill="1" applyBorder="1" applyAlignment="1">
      <alignment horizontal="center" vertical="center"/>
    </xf>
    <xf numFmtId="190" fontId="8" fillId="34" borderId="11" xfId="0" applyNumberFormat="1" applyFont="1" applyFill="1" applyBorder="1" applyAlignment="1" applyProtection="1">
      <alignment horizontal="center" vertical="center"/>
      <protection locked="0"/>
    </xf>
    <xf numFmtId="183" fontId="4" fillId="33" borderId="0" xfId="44" applyNumberFormat="1" applyFont="1" applyFill="1" applyBorder="1" applyAlignment="1">
      <alignment vertical="center"/>
    </xf>
    <xf numFmtId="194" fontId="8" fillId="33" borderId="0" xfId="0" applyNumberFormat="1" applyFont="1" applyFill="1" applyBorder="1" applyAlignment="1">
      <alignment horizontal="center" vertical="center"/>
    </xf>
    <xf numFmtId="193" fontId="0" fillId="33" borderId="0" xfId="44" applyNumberForma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2" fontId="0" fillId="33" borderId="0" xfId="0" applyNumberFormat="1" applyFill="1" applyAlignment="1">
      <alignment vertical="center"/>
    </xf>
    <xf numFmtId="190" fontId="8" fillId="33" borderId="13" xfId="0" applyNumberFormat="1" applyFont="1" applyFill="1" applyBorder="1" applyAlignment="1">
      <alignment horizontal="center" vertical="center"/>
    </xf>
    <xf numFmtId="190" fontId="8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183" fontId="8" fillId="34" borderId="0" xfId="0" applyNumberFormat="1" applyFont="1" applyFill="1" applyBorder="1" applyAlignment="1">
      <alignment horizontal="right" vertical="center"/>
    </xf>
    <xf numFmtId="184" fontId="4" fillId="35" borderId="11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vertical="center"/>
    </xf>
    <xf numFmtId="193" fontId="8" fillId="33" borderId="0" xfId="44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167" fontId="4" fillId="35" borderId="11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4" fillId="35" borderId="16" xfId="0" applyFont="1" applyFill="1" applyBorder="1" applyAlignment="1">
      <alignment horizontal="left" vertical="center"/>
    </xf>
    <xf numFmtId="183" fontId="4" fillId="35" borderId="17" xfId="44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193" fontId="4" fillId="33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9" fontId="8" fillId="34" borderId="18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" fontId="4" fillId="33" borderId="14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1" fontId="12" fillId="33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6" borderId="20" xfId="0" applyFont="1" applyFill="1" applyBorder="1" applyAlignment="1">
      <alignment/>
    </xf>
    <xf numFmtId="1" fontId="12" fillId="36" borderId="21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14" fontId="0" fillId="36" borderId="22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3" fontId="0" fillId="35" borderId="0" xfId="42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164" fontId="2" fillId="38" borderId="0" xfId="59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3" fontId="2" fillId="35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1" fontId="12" fillId="36" borderId="15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14" fontId="0" fillId="36" borderId="18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left"/>
    </xf>
    <xf numFmtId="3" fontId="0" fillId="33" borderId="27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33" borderId="0" xfId="42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164" fontId="2" fillId="34" borderId="30" xfId="59" applyNumberFormat="1" applyFont="1" applyFill="1" applyBorder="1" applyAlignment="1">
      <alignment/>
    </xf>
    <xf numFmtId="0" fontId="0" fillId="33" borderId="30" xfId="0" applyFont="1" applyFill="1" applyBorder="1" applyAlignment="1">
      <alignment horizontal="left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9" fontId="8" fillId="34" borderId="0" xfId="0" applyNumberFormat="1" applyFont="1" applyFill="1" applyBorder="1" applyAlignment="1">
      <alignment horizontal="right" vertical="center"/>
    </xf>
    <xf numFmtId="190" fontId="8" fillId="38" borderId="0" xfId="0" applyNumberFormat="1" applyFont="1" applyFill="1" applyBorder="1" applyAlignment="1">
      <alignment horizontal="center" vertical="center"/>
    </xf>
    <xf numFmtId="6" fontId="4" fillId="35" borderId="32" xfId="0" applyNumberFormat="1" applyFont="1" applyFill="1" applyBorder="1" applyAlignment="1">
      <alignment vertical="center"/>
    </xf>
    <xf numFmtId="0" fontId="4" fillId="39" borderId="14" xfId="0" applyFont="1" applyFill="1" applyBorder="1" applyAlignment="1">
      <alignment horizontal="right" vertical="center"/>
    </xf>
    <xf numFmtId="0" fontId="4" fillId="39" borderId="10" xfId="0" applyFont="1" applyFill="1" applyBorder="1" applyAlignment="1">
      <alignment horizontal="right" vertical="center"/>
    </xf>
    <xf numFmtId="0" fontId="4" fillId="39" borderId="12" xfId="0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vertical="center"/>
    </xf>
    <xf numFmtId="0" fontId="4" fillId="39" borderId="15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vertical="center"/>
    </xf>
    <xf numFmtId="3" fontId="8" fillId="39" borderId="0" xfId="0" applyNumberFormat="1" applyFont="1" applyFill="1" applyBorder="1" applyAlignment="1">
      <alignment horizontal="center" vertical="center"/>
    </xf>
    <xf numFmtId="184" fontId="8" fillId="39" borderId="0" xfId="0" applyNumberFormat="1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left" vertical="center"/>
    </xf>
    <xf numFmtId="204" fontId="8" fillId="38" borderId="13" xfId="0" applyNumberFormat="1" applyFont="1" applyFill="1" applyBorder="1" applyAlignment="1">
      <alignment horizontal="center" vertical="center"/>
    </xf>
    <xf numFmtId="184" fontId="8" fillId="37" borderId="13" xfId="0" applyNumberFormat="1" applyFont="1" applyFill="1" applyBorder="1" applyAlignment="1">
      <alignment horizontal="center" vertical="center"/>
    </xf>
    <xf numFmtId="184" fontId="8" fillId="37" borderId="19" xfId="0" applyNumberFormat="1" applyFont="1" applyFill="1" applyBorder="1" applyAlignment="1">
      <alignment horizontal="center" vertical="center"/>
    </xf>
    <xf numFmtId="184" fontId="8" fillId="37" borderId="11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0" fillId="39" borderId="13" xfId="0" applyFill="1" applyBorder="1" applyAlignment="1">
      <alignment vertical="center"/>
    </xf>
    <xf numFmtId="6" fontId="8" fillId="37" borderId="19" xfId="0" applyNumberFormat="1" applyFont="1" applyFill="1" applyBorder="1" applyAlignment="1">
      <alignment vertical="center"/>
    </xf>
    <xf numFmtId="6" fontId="8" fillId="37" borderId="19" xfId="44" applyNumberFormat="1" applyFont="1" applyFill="1" applyBorder="1" applyAlignment="1">
      <alignment horizontal="right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3" fontId="2" fillId="38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9" fontId="62" fillId="39" borderId="24" xfId="0" applyNumberFormat="1" applyFont="1" applyFill="1" applyBorder="1" applyAlignment="1">
      <alignment horizontal="center"/>
    </xf>
    <xf numFmtId="9" fontId="63" fillId="39" borderId="13" xfId="0" applyNumberFormat="1" applyFont="1" applyFill="1" applyBorder="1" applyAlignment="1">
      <alignment horizontal="center"/>
    </xf>
    <xf numFmtId="1" fontId="2" fillId="37" borderId="24" xfId="0" applyNumberFormat="1" applyFont="1" applyFill="1" applyBorder="1" applyAlignment="1">
      <alignment/>
    </xf>
    <xf numFmtId="1" fontId="2" fillId="37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4" fillId="34" borderId="18" xfId="0" applyNumberFormat="1" applyFont="1" applyFill="1" applyBorder="1" applyAlignment="1">
      <alignment horizontal="center" vertical="center" wrapText="1"/>
    </xf>
    <xf numFmtId="6" fontId="8" fillId="33" borderId="19" xfId="44" applyNumberFormat="1" applyFont="1" applyFill="1" applyBorder="1" applyAlignment="1">
      <alignment vertical="center"/>
    </xf>
    <xf numFmtId="6" fontId="8" fillId="37" borderId="19" xfId="0" applyNumberFormat="1" applyFont="1" applyFill="1" applyBorder="1" applyAlignment="1">
      <alignment horizontal="right" vertical="center"/>
    </xf>
    <xf numFmtId="6" fontId="8" fillId="33" borderId="19" xfId="0" applyNumberFormat="1" applyFont="1" applyFill="1" applyBorder="1" applyAlignment="1">
      <alignment horizontal="right" vertical="center"/>
    </xf>
    <xf numFmtId="6" fontId="4" fillId="35" borderId="18" xfId="0" applyNumberFormat="1" applyFont="1" applyFill="1" applyBorder="1" applyAlignment="1">
      <alignment vertical="center"/>
    </xf>
    <xf numFmtId="1" fontId="64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horizontal="left" vertical="center"/>
    </xf>
    <xf numFmtId="0" fontId="4" fillId="37" borderId="18" xfId="0" applyNumberFormat="1" applyFont="1" applyFill="1" applyBorder="1" applyAlignment="1">
      <alignment horizontal="left" vertical="center"/>
    </xf>
    <xf numFmtId="0" fontId="4" fillId="37" borderId="0" xfId="0" applyNumberFormat="1" applyFont="1" applyFill="1" applyBorder="1" applyAlignment="1">
      <alignment horizontal="left" vertical="center"/>
    </xf>
    <xf numFmtId="0" fontId="4" fillId="37" borderId="19" xfId="0" applyNumberFormat="1" applyFont="1" applyFill="1" applyBorder="1" applyAlignment="1">
      <alignment horizontal="left" vertical="center"/>
    </xf>
    <xf numFmtId="14" fontId="4" fillId="37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197" fontId="10" fillId="33" borderId="0" xfId="0" applyNumberFormat="1" applyFont="1" applyFill="1" applyBorder="1" applyAlignment="1">
      <alignment horizontal="center" vertical="center"/>
    </xf>
    <xf numFmtId="39" fontId="10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14" fontId="4" fillId="37" borderId="13" xfId="0" applyNumberFormat="1" applyFont="1" applyFill="1" applyBorder="1" applyAlignment="1">
      <alignment horizontal="left" vertical="center"/>
    </xf>
    <xf numFmtId="0" fontId="4" fillId="37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Sensitivity to Total Installed Costs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89"/>
          <c:w val="0.90125"/>
          <c:h val="0.6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'Simple Economics'!$F$5:$F$9</c:f>
              <c:numCache/>
            </c:numRef>
          </c:xVal>
          <c:yVal>
            <c:numRef>
              <c:f>'Simple Economics'!$G$5:$G$9</c:f>
              <c:numCache/>
            </c:numRef>
          </c:yVal>
          <c:smooth val="0"/>
        </c:ser>
        <c:axId val="41925870"/>
        <c:axId val="41788511"/>
      </c:scatterChart>
      <c:valAx>
        <c:axId val="41925870"/>
        <c:scaling>
          <c:orientation val="minMax"/>
          <c:max val="60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Installed Costs ($/KW)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crossBetween val="midCat"/>
        <c:dispUnits/>
        <c:majorUnit val="500"/>
        <c:minorUnit val="79.82625"/>
      </c:valAx>
      <c:valAx>
        <c:axId val="41788511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Simple Payback  (Years)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crossBetween val="midCat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Sensitivity to Electric Energy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25"/>
          <c:w val="0.921"/>
          <c:h val="0.68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'Simple Economics'!$F$25:$F$29</c:f>
              <c:numCache/>
            </c:numRef>
          </c:xVal>
          <c:yVal>
            <c:numRef>
              <c:f>'Simple Economics'!$G$25:$G$29</c:f>
              <c:numCache/>
            </c:numRef>
          </c:yVal>
          <c:smooth val="0"/>
        </c:ser>
        <c:axId val="40552280"/>
        <c:axId val="29426201"/>
      </c:scatterChart>
      <c:valAx>
        <c:axId val="40552280"/>
        <c:scaling>
          <c:orientation val="minMax"/>
          <c:max val="12.5"/>
          <c:min val="8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Electric Energy Rate (¢/kWhr)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crossBetween val="midCat"/>
        <c:dispUnits/>
        <c:majorUnit val="1"/>
      </c:valAx>
      <c:valAx>
        <c:axId val="29426201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Simple Payback (Years)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180975</xdr:rowOff>
    </xdr:from>
    <xdr:to>
      <xdr:col>22</xdr:col>
      <xdr:colOff>238125</xdr:colOff>
      <xdr:row>29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80975"/>
          <a:ext cx="910590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0</xdr:row>
      <xdr:rowOff>161925</xdr:rowOff>
    </xdr:from>
    <xdr:to>
      <xdr:col>4</xdr:col>
      <xdr:colOff>257175</xdr:colOff>
      <xdr:row>0</xdr:row>
      <xdr:rowOff>1504950</xdr:rowOff>
    </xdr:to>
    <xdr:pic>
      <xdr:nvPicPr>
        <xdr:cNvPr id="2" name="Picture 3" descr="C:\Documents and Settings\hdickey\Desktop\TAS Energy Inc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61925"/>
          <a:ext cx="2190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0</xdr:rowOff>
    </xdr:from>
    <xdr:to>
      <xdr:col>11</xdr:col>
      <xdr:colOff>0</xdr:colOff>
      <xdr:row>16</xdr:row>
      <xdr:rowOff>9525</xdr:rowOff>
    </xdr:to>
    <xdr:graphicFrame>
      <xdr:nvGraphicFramePr>
        <xdr:cNvPr id="1" name="Chart 1041"/>
        <xdr:cNvGraphicFramePr/>
      </xdr:nvGraphicFramePr>
      <xdr:xfrm>
        <a:off x="5600700" y="1409700"/>
        <a:ext cx="5305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17</xdr:row>
      <xdr:rowOff>66675</xdr:rowOff>
    </xdr:from>
    <xdr:to>
      <xdr:col>10</xdr:col>
      <xdr:colOff>1057275</xdr:colOff>
      <xdr:row>30</xdr:row>
      <xdr:rowOff>19050</xdr:rowOff>
    </xdr:to>
    <xdr:graphicFrame>
      <xdr:nvGraphicFramePr>
        <xdr:cNvPr id="2" name="Chart 1042"/>
        <xdr:cNvGraphicFramePr/>
      </xdr:nvGraphicFramePr>
      <xdr:xfrm>
        <a:off x="5629275" y="4086225"/>
        <a:ext cx="52578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0</xdr:row>
      <xdr:rowOff>66675</xdr:rowOff>
    </xdr:from>
    <xdr:to>
      <xdr:col>1</xdr:col>
      <xdr:colOff>2143125</xdr:colOff>
      <xdr:row>2</xdr:row>
      <xdr:rowOff>219075</xdr:rowOff>
    </xdr:to>
    <xdr:pic>
      <xdr:nvPicPr>
        <xdr:cNvPr id="3" name="Picture 3" descr="C:\Documents and Settings\hdickey\Desktop\TAS Energy Inc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66675"/>
          <a:ext cx="2133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9.140625" style="42" customWidth="1"/>
    <col min="2" max="2" width="29.421875" style="42" customWidth="1"/>
    <col min="3" max="3" width="14.28125" style="48" customWidth="1"/>
    <col min="4" max="4" width="6.28125" style="42" customWidth="1"/>
    <col min="5" max="5" width="11.7109375" style="42" bestFit="1" customWidth="1"/>
    <col min="6" max="6" width="9.140625" style="42" customWidth="1"/>
    <col min="7" max="7" width="10.00390625" style="42" bestFit="1" customWidth="1"/>
    <col min="8" max="16384" width="9.140625" style="42" customWidth="1"/>
  </cols>
  <sheetData>
    <row r="1" ht="123" customHeight="1"/>
    <row r="2" spans="2:7" ht="23.25">
      <c r="B2" s="131" t="s">
        <v>51</v>
      </c>
      <c r="C2" s="132"/>
      <c r="D2" s="132"/>
      <c r="E2" s="132"/>
      <c r="F2" s="132"/>
      <c r="G2" s="132"/>
    </row>
    <row r="3" spans="2:7" ht="18.75" thickBot="1">
      <c r="B3" s="133"/>
      <c r="C3" s="134"/>
      <c r="D3" s="134"/>
      <c r="E3" s="134"/>
      <c r="F3" s="134"/>
      <c r="G3" s="134"/>
    </row>
    <row r="4" spans="2:7" ht="15.75">
      <c r="B4" s="43" t="s">
        <v>0</v>
      </c>
      <c r="C4" s="135" t="s">
        <v>53</v>
      </c>
      <c r="D4" s="135"/>
      <c r="E4" s="135"/>
      <c r="F4" s="135"/>
      <c r="G4" s="136"/>
    </row>
    <row r="5" spans="2:7" ht="16.5" thickBot="1">
      <c r="B5" s="44" t="s">
        <v>1</v>
      </c>
      <c r="C5" s="137" t="s">
        <v>54</v>
      </c>
      <c r="D5" s="137"/>
      <c r="E5" s="137"/>
      <c r="F5" s="137"/>
      <c r="G5" s="138"/>
    </row>
    <row r="6" spans="2:7" ht="12.75">
      <c r="B6" s="42" t="s">
        <v>58</v>
      </c>
      <c r="C6" s="45"/>
      <c r="G6" s="46">
        <f ca="1">TODAY()</f>
        <v>40721</v>
      </c>
    </row>
    <row r="7" spans="2:7" ht="12.75">
      <c r="B7" s="47" t="s">
        <v>49</v>
      </c>
      <c r="D7" s="49" t="s">
        <v>24</v>
      </c>
      <c r="G7" s="50" t="s">
        <v>55</v>
      </c>
    </row>
    <row r="8" spans="2:7" ht="13.5" thickBot="1">
      <c r="B8" s="51" t="s">
        <v>50</v>
      </c>
      <c r="C8" s="45"/>
      <c r="G8" s="50"/>
    </row>
    <row r="9" spans="2:7" ht="12.75">
      <c r="B9" s="52" t="s">
        <v>47</v>
      </c>
      <c r="C9" s="53"/>
      <c r="D9" s="54"/>
      <c r="E9" s="54"/>
      <c r="F9" s="54"/>
      <c r="G9" s="55"/>
    </row>
    <row r="10" spans="2:7" ht="12.75">
      <c r="B10" s="56" t="s">
        <v>25</v>
      </c>
      <c r="C10" s="57">
        <v>1500</v>
      </c>
      <c r="D10" s="58" t="s">
        <v>26</v>
      </c>
      <c r="E10" s="59">
        <f>C11*42/(24*60)</f>
        <v>1500</v>
      </c>
      <c r="F10" s="60" t="s">
        <v>26</v>
      </c>
      <c r="G10" s="61"/>
    </row>
    <row r="11" spans="2:7" ht="12.75">
      <c r="B11" s="56" t="s">
        <v>25</v>
      </c>
      <c r="C11" s="57">
        <f>C10*(24*60)/42</f>
        <v>51428.57142857143</v>
      </c>
      <c r="D11" s="58" t="s">
        <v>27</v>
      </c>
      <c r="E11" s="60"/>
      <c r="F11" s="60"/>
      <c r="G11" s="62"/>
    </row>
    <row r="12" spans="2:7" ht="12.75">
      <c r="B12" s="56" t="s">
        <v>25</v>
      </c>
      <c r="C12" s="63">
        <f>C11/24</f>
        <v>2142.8571428571427</v>
      </c>
      <c r="D12" s="64" t="s">
        <v>28</v>
      </c>
      <c r="E12" s="65"/>
      <c r="F12" s="60"/>
      <c r="G12" s="62"/>
    </row>
    <row r="13" spans="2:7" ht="12.75">
      <c r="B13" s="56" t="s">
        <v>25</v>
      </c>
      <c r="C13" s="66">
        <f>C12*350</f>
        <v>749999.9999999999</v>
      </c>
      <c r="D13" s="64" t="s">
        <v>29</v>
      </c>
      <c r="E13" s="60"/>
      <c r="F13" s="67"/>
      <c r="G13" s="62"/>
    </row>
    <row r="14" spans="2:7" ht="12.75">
      <c r="B14" s="56" t="s">
        <v>30</v>
      </c>
      <c r="C14" s="57">
        <v>235</v>
      </c>
      <c r="D14" s="58" t="s">
        <v>4</v>
      </c>
      <c r="E14" s="60"/>
      <c r="F14" s="67"/>
      <c r="G14" s="62"/>
    </row>
    <row r="15" spans="2:7" ht="12.75">
      <c r="B15" s="56" t="s">
        <v>31</v>
      </c>
      <c r="C15" s="57">
        <v>145</v>
      </c>
      <c r="D15" s="58" t="s">
        <v>4</v>
      </c>
      <c r="E15" s="60"/>
      <c r="F15" s="60"/>
      <c r="G15" s="62"/>
    </row>
    <row r="16" spans="2:7" ht="12.75">
      <c r="B16" s="56" t="s">
        <v>32</v>
      </c>
      <c r="C16" s="68">
        <f>C13*(C14-C15)</f>
        <v>67499999.99999999</v>
      </c>
      <c r="D16" s="64" t="s">
        <v>33</v>
      </c>
      <c r="E16" s="117"/>
      <c r="F16" s="118"/>
      <c r="G16" s="62"/>
    </row>
    <row r="17" spans="2:7" ht="12.75">
      <c r="B17" s="56" t="s">
        <v>34</v>
      </c>
      <c r="C17" s="69">
        <v>0.08</v>
      </c>
      <c r="D17" s="64"/>
      <c r="E17" s="60"/>
      <c r="F17" s="60"/>
      <c r="G17" s="62"/>
    </row>
    <row r="18" spans="2:7" ht="18" customHeight="1" thickBot="1">
      <c r="B18" s="70" t="s">
        <v>35</v>
      </c>
      <c r="C18" s="71">
        <f>C16*C17/3412</f>
        <v>1582.6494724501756</v>
      </c>
      <c r="D18" s="72" t="s">
        <v>36</v>
      </c>
      <c r="E18" s="120">
        <v>0.75</v>
      </c>
      <c r="F18" s="122">
        <f>C18/(E18*1000)</f>
        <v>2.1101992966002343</v>
      </c>
      <c r="G18" s="73" t="s">
        <v>46</v>
      </c>
    </row>
    <row r="19" spans="2:7" ht="13.5" thickBot="1">
      <c r="B19" s="124"/>
      <c r="C19" s="125"/>
      <c r="D19" s="124"/>
      <c r="E19" s="124"/>
      <c r="F19" s="124"/>
      <c r="G19" s="124"/>
    </row>
    <row r="20" spans="2:7" ht="12.75">
      <c r="B20" s="74" t="s">
        <v>48</v>
      </c>
      <c r="C20" s="75"/>
      <c r="D20" s="76"/>
      <c r="E20" s="76"/>
      <c r="F20" s="76"/>
      <c r="G20" s="77"/>
    </row>
    <row r="21" spans="2:7" ht="12.75">
      <c r="B21" s="78" t="s">
        <v>25</v>
      </c>
      <c r="C21" s="79">
        <f>C10</f>
        <v>1500</v>
      </c>
      <c r="D21" s="80" t="s">
        <v>26</v>
      </c>
      <c r="E21" s="81">
        <f>E10</f>
        <v>1500</v>
      </c>
      <c r="F21" s="82"/>
      <c r="G21" s="83"/>
    </row>
    <row r="22" spans="2:7" ht="12.75">
      <c r="B22" s="56" t="s">
        <v>25</v>
      </c>
      <c r="C22" s="84">
        <f>C11</f>
        <v>51428.57142857143</v>
      </c>
      <c r="D22" s="64" t="s">
        <v>27</v>
      </c>
      <c r="E22" s="60"/>
      <c r="F22" s="60"/>
      <c r="G22" s="62"/>
    </row>
    <row r="23" spans="2:7" ht="12.75">
      <c r="B23" s="56" t="s">
        <v>25</v>
      </c>
      <c r="C23" s="84">
        <f>C12</f>
        <v>2142.8571428571427</v>
      </c>
      <c r="D23" s="64" t="s">
        <v>28</v>
      </c>
      <c r="E23" s="65"/>
      <c r="F23" s="60"/>
      <c r="G23" s="62"/>
    </row>
    <row r="24" spans="2:7" ht="12.75">
      <c r="B24" s="56" t="s">
        <v>25</v>
      </c>
      <c r="C24" s="85">
        <f>C13</f>
        <v>749999.9999999999</v>
      </c>
      <c r="D24" s="64" t="s">
        <v>29</v>
      </c>
      <c r="E24" s="60"/>
      <c r="F24" s="67"/>
      <c r="G24" s="62"/>
    </row>
    <row r="25" spans="2:7" ht="12.75">
      <c r="B25" s="56" t="s">
        <v>30</v>
      </c>
      <c r="C25" s="116">
        <v>215</v>
      </c>
      <c r="D25" s="58" t="s">
        <v>4</v>
      </c>
      <c r="E25" s="60"/>
      <c r="F25" s="67"/>
      <c r="G25" s="62"/>
    </row>
    <row r="26" spans="2:7" ht="12.75">
      <c r="B26" s="56" t="s">
        <v>31</v>
      </c>
      <c r="C26" s="116">
        <v>150</v>
      </c>
      <c r="D26" s="58" t="s">
        <v>4</v>
      </c>
      <c r="E26" s="60"/>
      <c r="F26" s="60"/>
      <c r="G26" s="62"/>
    </row>
    <row r="27" spans="2:7" ht="12.75">
      <c r="B27" s="56" t="s">
        <v>37</v>
      </c>
      <c r="C27" s="84">
        <f>C24*(C25-C26)</f>
        <v>48749999.99999999</v>
      </c>
      <c r="D27" s="64" t="s">
        <v>38</v>
      </c>
      <c r="E27" s="60"/>
      <c r="F27" s="60"/>
      <c r="G27" s="62"/>
    </row>
    <row r="28" spans="2:7" ht="12.75">
      <c r="B28" s="86" t="s">
        <v>34</v>
      </c>
      <c r="C28" s="87">
        <v>0.062</v>
      </c>
      <c r="D28" s="88"/>
      <c r="E28" s="89"/>
      <c r="F28" s="89"/>
      <c r="G28" s="90"/>
    </row>
    <row r="29" spans="2:7" ht="18" customHeight="1" thickBot="1">
      <c r="B29" s="91" t="s">
        <v>39</v>
      </c>
      <c r="C29" s="92">
        <f>C27*C28/3412</f>
        <v>885.8440797186399</v>
      </c>
      <c r="D29" s="93" t="s">
        <v>36</v>
      </c>
      <c r="E29" s="121">
        <v>0.75</v>
      </c>
      <c r="F29" s="123">
        <f>C29/(E29*1000)</f>
        <v>1.1811254396248532</v>
      </c>
      <c r="G29" s="119" t="s">
        <v>46</v>
      </c>
    </row>
  </sheetData>
  <sheetProtection/>
  <mergeCells count="4">
    <mergeCell ref="B2:G2"/>
    <mergeCell ref="B3:G3"/>
    <mergeCell ref="C4:G4"/>
    <mergeCell ref="C5:G5"/>
  </mergeCells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zoomScale="70" zoomScaleNormal="70" zoomScalePageLayoutView="0" workbookViewId="0" topLeftCell="A1">
      <selection activeCell="K3" sqref="K3"/>
    </sheetView>
  </sheetViews>
  <sheetFormatPr defaultColWidth="9.140625" defaultRowHeight="12.75"/>
  <cols>
    <col min="1" max="1" width="3.8515625" style="1" customWidth="1"/>
    <col min="2" max="2" width="41.00390625" style="1" customWidth="1"/>
    <col min="3" max="3" width="19.7109375" style="1" bestFit="1" customWidth="1"/>
    <col min="4" max="4" width="17.8515625" style="1" bestFit="1" customWidth="1"/>
    <col min="5" max="5" width="2.140625" style="1" customWidth="1"/>
    <col min="6" max="6" width="18.7109375" style="1" bestFit="1" customWidth="1"/>
    <col min="7" max="7" width="15.00390625" style="1" bestFit="1" customWidth="1"/>
    <col min="8" max="8" width="7.28125" style="1" bestFit="1" customWidth="1"/>
    <col min="9" max="9" width="10.140625" style="1" bestFit="1" customWidth="1"/>
    <col min="10" max="10" width="11.7109375" style="1" customWidth="1"/>
    <col min="11" max="11" width="16.140625" style="1" customWidth="1"/>
    <col min="12" max="12" width="13.7109375" style="1" customWidth="1"/>
    <col min="13" max="16384" width="9.140625" style="1" customWidth="1"/>
  </cols>
  <sheetData>
    <row r="1" spans="4:5" ht="18">
      <c r="D1" s="2"/>
      <c r="E1" s="3"/>
    </row>
    <row r="2" spans="2:11" ht="71.25" customHeight="1">
      <c r="B2" s="156" t="s">
        <v>52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4:11" ht="21.75" customHeight="1" thickBot="1">
      <c r="D3" s="2"/>
      <c r="E3" s="3"/>
      <c r="H3" s="4"/>
      <c r="K3" s="32" t="str">
        <f>'GPM - BWPD - POWER'!B6</f>
        <v>Power Economics Tool  R.1</v>
      </c>
    </row>
    <row r="4" spans="2:8" ht="15.75">
      <c r="B4" s="97" t="s">
        <v>14</v>
      </c>
      <c r="C4" s="148" t="str">
        <f>'GPM - BWPD - POWER'!C4:G4</f>
        <v>ABC Co.</v>
      </c>
      <c r="D4" s="149"/>
      <c r="F4" s="1" t="s">
        <v>9</v>
      </c>
      <c r="G4" s="1" t="s">
        <v>7</v>
      </c>
      <c r="H4" s="21">
        <v>0.125</v>
      </c>
    </row>
    <row r="5" spans="2:9" ht="20.25">
      <c r="B5" s="98" t="s">
        <v>15</v>
      </c>
      <c r="C5" s="150" t="str">
        <f>'GPM - BWPD - POWER'!C5:G5</f>
        <v>Anywhere, US</v>
      </c>
      <c r="D5" s="151"/>
      <c r="E5" s="5"/>
      <c r="F5" s="6">
        <f>$F$7*H5</f>
        <v>5625.375</v>
      </c>
      <c r="G5" s="7">
        <f>I5/$D$29</f>
        <v>10.426440198929146</v>
      </c>
      <c r="H5" s="21">
        <f>H6+$H$4</f>
        <v>1.25</v>
      </c>
      <c r="I5" s="6">
        <f>F5*$D$11</f>
        <v>8902996.776084406</v>
      </c>
    </row>
    <row r="6" spans="2:9" ht="15.75">
      <c r="B6" s="98" t="s">
        <v>3</v>
      </c>
      <c r="C6" s="152" t="str">
        <f>'GPM - BWPD - POWER'!G7</f>
        <v>Name</v>
      </c>
      <c r="D6" s="151"/>
      <c r="F6" s="6">
        <f>$F$7*H6</f>
        <v>5062.837500000001</v>
      </c>
      <c r="G6" s="7">
        <f>I6/$D$29</f>
        <v>9.383796179036233</v>
      </c>
      <c r="H6" s="21">
        <f>H7+$H$4</f>
        <v>1.125</v>
      </c>
      <c r="I6" s="6">
        <f>F6*$D$11</f>
        <v>8012697.098475967</v>
      </c>
    </row>
    <row r="7" spans="2:9" ht="18.75" thickBot="1">
      <c r="B7" s="99" t="s">
        <v>2</v>
      </c>
      <c r="C7" s="157">
        <f>'GPM - BWPD - POWER'!G6</f>
        <v>40721</v>
      </c>
      <c r="D7" s="158"/>
      <c r="E7" s="3"/>
      <c r="F7" s="6">
        <f>C22</f>
        <v>4500.3</v>
      </c>
      <c r="G7" s="7">
        <f>I7/$D$29</f>
        <v>8.341152159143318</v>
      </c>
      <c r="H7" s="21">
        <v>1</v>
      </c>
      <c r="I7" s="6">
        <f>F7*$D$11</f>
        <v>7122397.420867526</v>
      </c>
    </row>
    <row r="8" spans="2:9" ht="9" customHeight="1" thickBot="1">
      <c r="B8" s="8"/>
      <c r="C8" s="8"/>
      <c r="D8" s="9"/>
      <c r="E8" s="3"/>
      <c r="F8" s="6">
        <f>$F$7*H8</f>
        <v>3937.7625000000003</v>
      </c>
      <c r="G8" s="7">
        <f>I8/$D$29</f>
        <v>7.298508139250403</v>
      </c>
      <c r="H8" s="21">
        <f>H7-$H$4</f>
        <v>0.875</v>
      </c>
      <c r="I8" s="6">
        <f>F8*$D$11</f>
        <v>6232097.743259085</v>
      </c>
    </row>
    <row r="9" spans="2:9" ht="15.75" customHeight="1">
      <c r="B9" s="100" t="s">
        <v>8</v>
      </c>
      <c r="C9" s="101" t="s">
        <v>41</v>
      </c>
      <c r="D9" s="126">
        <f>'GPM - BWPD - POWER'!F18</f>
        <v>2.1101992966002343</v>
      </c>
      <c r="E9" s="2"/>
      <c r="F9" s="6">
        <f>$F$7*H9</f>
        <v>3375.2250000000004</v>
      </c>
      <c r="G9" s="7">
        <f>I9/$D$29</f>
        <v>6.255864119357488</v>
      </c>
      <c r="H9" s="21">
        <f>H8-$H$4</f>
        <v>0.75</v>
      </c>
      <c r="I9" s="6">
        <f>F9*$D$11</f>
        <v>5341798.065650645</v>
      </c>
    </row>
    <row r="10" spans="2:5" ht="15">
      <c r="B10" s="102" t="s">
        <v>12</v>
      </c>
      <c r="C10" s="103">
        <f>'GPM - BWPD - POWER'!$C$14</f>
        <v>235</v>
      </c>
      <c r="D10" s="41">
        <v>1</v>
      </c>
      <c r="E10" s="2"/>
    </row>
    <row r="11" spans="2:5" ht="15">
      <c r="B11" s="102" t="s">
        <v>22</v>
      </c>
      <c r="C11" s="104">
        <f>'GPM - BWPD - POWER'!$C$18</f>
        <v>1582.6494724501756</v>
      </c>
      <c r="D11" s="108">
        <f>D10*C11</f>
        <v>1582.6494724501756</v>
      </c>
      <c r="E11" s="2"/>
    </row>
    <row r="12" spans="2:5" ht="15.75" thickBot="1">
      <c r="B12" s="105" t="s">
        <v>42</v>
      </c>
      <c r="C12" s="106">
        <f>'GPM - BWPD - POWER'!$E$10</f>
        <v>1500</v>
      </c>
      <c r="D12" s="109">
        <f>-C12*1.15*D10/3.4</f>
        <v>-507.35294117647055</v>
      </c>
      <c r="E12" s="2"/>
    </row>
    <row r="13" spans="2:5" ht="16.5" thickBot="1">
      <c r="B13" s="17" t="s">
        <v>18</v>
      </c>
      <c r="C13" s="107"/>
      <c r="D13" s="24">
        <f>D11+D12</f>
        <v>1075.296531273705</v>
      </c>
      <c r="E13" s="2"/>
    </row>
    <row r="14" spans="2:5" ht="7.5" customHeight="1" thickBot="1">
      <c r="B14" s="2"/>
      <c r="C14" s="2"/>
      <c r="D14" s="2"/>
      <c r="E14" s="11"/>
    </row>
    <row r="15" spans="2:5" ht="15.75">
      <c r="B15" s="100" t="s">
        <v>21</v>
      </c>
      <c r="C15" s="110" t="s">
        <v>6</v>
      </c>
      <c r="D15" s="40">
        <v>0.98</v>
      </c>
      <c r="E15" s="12"/>
    </row>
    <row r="16" spans="2:5" ht="15.75" thickBot="1">
      <c r="B16" s="105" t="s">
        <v>23</v>
      </c>
      <c r="C16" s="111"/>
      <c r="D16" s="13">
        <v>10.5</v>
      </c>
      <c r="E16" s="12"/>
    </row>
    <row r="17" spans="2:5" ht="9" customHeight="1" thickBot="1">
      <c r="B17" s="2"/>
      <c r="C17" s="2"/>
      <c r="D17" s="2"/>
      <c r="E17" s="12"/>
    </row>
    <row r="18" spans="2:5" ht="15.75">
      <c r="B18" s="100" t="s">
        <v>19</v>
      </c>
      <c r="C18" s="114"/>
      <c r="D18" s="115"/>
      <c r="E18" s="12"/>
    </row>
    <row r="19" spans="2:5" ht="15">
      <c r="B19" s="102" t="s">
        <v>56</v>
      </c>
      <c r="C19" s="23">
        <v>3000</v>
      </c>
      <c r="D19" s="112">
        <f>D11*C19</f>
        <v>4747948.417350527</v>
      </c>
      <c r="E19" s="12"/>
    </row>
    <row r="20" spans="2:5" ht="15">
      <c r="B20" s="102" t="s">
        <v>57</v>
      </c>
      <c r="C20" s="23">
        <v>1500</v>
      </c>
      <c r="D20" s="112">
        <f>C20*$D$11</f>
        <v>2373974.2086752634</v>
      </c>
      <c r="E20" s="12"/>
    </row>
    <row r="21" spans="2:5" ht="15.75" thickBot="1">
      <c r="B21" s="102" t="s">
        <v>43</v>
      </c>
      <c r="C21" s="94">
        <v>0.3</v>
      </c>
      <c r="D21" s="113">
        <f>-C21*SUM(D19:D20)</f>
        <v>-2136576.787807737</v>
      </c>
      <c r="E21" s="12"/>
    </row>
    <row r="22" spans="2:5" ht="16.5" thickBot="1">
      <c r="B22" s="33" t="s">
        <v>5</v>
      </c>
      <c r="C22" s="34">
        <f>SUM(C19:C21)</f>
        <v>4500.3</v>
      </c>
      <c r="D22" s="96">
        <f>SUM(D19:D21)</f>
        <v>4985345.838218054</v>
      </c>
      <c r="E22" s="12"/>
    </row>
    <row r="23" spans="2:5" s="2" customFormat="1" ht="9" customHeight="1" thickBot="1">
      <c r="B23" s="35"/>
      <c r="C23" s="14"/>
      <c r="D23" s="36"/>
      <c r="E23" s="12"/>
    </row>
    <row r="24" spans="2:8" ht="15.75">
      <c r="B24" s="37" t="s">
        <v>20</v>
      </c>
      <c r="C24" s="38"/>
      <c r="D24" s="39"/>
      <c r="E24" s="12"/>
      <c r="F24" s="1" t="s">
        <v>10</v>
      </c>
      <c r="G24" s="22" t="s">
        <v>7</v>
      </c>
      <c r="H24" s="4"/>
    </row>
    <row r="25" spans="2:9" ht="15">
      <c r="B25" s="10" t="s">
        <v>16</v>
      </c>
      <c r="C25" s="15">
        <f>D13*D15*8760</f>
        <v>9231205.661678504</v>
      </c>
      <c r="D25" s="127">
        <f>C25*D16/100</f>
        <v>969276.594476243</v>
      </c>
      <c r="E25" s="12"/>
      <c r="F25" s="18">
        <f>F26+$H$27</f>
        <v>12</v>
      </c>
      <c r="G25" s="7">
        <f>$D$22/I25</f>
        <v>5.023754406802615</v>
      </c>
      <c r="H25" s="4"/>
      <c r="I25" s="6">
        <f>($C$25*F25/100)+SUM($D$26:$D$28)</f>
        <v>992354.6086304393</v>
      </c>
    </row>
    <row r="26" spans="2:9" ht="15">
      <c r="B26" s="102" t="s">
        <v>13</v>
      </c>
      <c r="C26" s="95">
        <v>1.25</v>
      </c>
      <c r="D26" s="128">
        <f>-C25*C26/100</f>
        <v>-115390.07077098131</v>
      </c>
      <c r="E26" s="16"/>
      <c r="F26" s="18">
        <f>F27+$H$27</f>
        <v>11.25</v>
      </c>
      <c r="G26" s="7">
        <f>$D$22/I26</f>
        <v>5.4005359873128125</v>
      </c>
      <c r="I26" s="6">
        <f>($C$25*F26/100)+SUM($D$26:$D$28)</f>
        <v>923120.5661678503</v>
      </c>
    </row>
    <row r="27" spans="2:9" ht="15">
      <c r="B27" s="10" t="s">
        <v>44</v>
      </c>
      <c r="C27" s="20">
        <v>0</v>
      </c>
      <c r="D27" s="129">
        <f>C27*$C$25/100</f>
        <v>0</v>
      </c>
      <c r="E27" s="16"/>
      <c r="F27" s="18">
        <f>D16</f>
        <v>10.5</v>
      </c>
      <c r="G27" s="7">
        <f>$D$22/I27</f>
        <v>5.838417283581418</v>
      </c>
      <c r="H27" s="1">
        <v>0.75</v>
      </c>
      <c r="I27" s="6">
        <f>($C$25*F27/100)+SUM($D$26:$D$28)</f>
        <v>853886.5237052618</v>
      </c>
    </row>
    <row r="28" spans="2:11" ht="15.75" thickBot="1">
      <c r="B28" s="10" t="s">
        <v>45</v>
      </c>
      <c r="C28" s="19">
        <v>0</v>
      </c>
      <c r="D28" s="129">
        <f>C28*$C$25/100</f>
        <v>0</v>
      </c>
      <c r="E28" s="16"/>
      <c r="F28" s="18">
        <f>F27-$H$27</f>
        <v>9.75</v>
      </c>
      <c r="G28" s="7">
        <f>$D$22/I28</f>
        <v>6.353571749779779</v>
      </c>
      <c r="H28" s="4"/>
      <c r="I28" s="6">
        <f>($C$25*F28/100)+SUM($D$26:$D$28)</f>
        <v>784652.4812426728</v>
      </c>
      <c r="J28" s="153"/>
      <c r="K28" s="153"/>
    </row>
    <row r="29" spans="2:11" s="28" customFormat="1" ht="15.75">
      <c r="B29" s="25" t="s">
        <v>17</v>
      </c>
      <c r="C29" s="26"/>
      <c r="D29" s="130">
        <f>SUM(D25:D28)</f>
        <v>853886.5237052618</v>
      </c>
      <c r="E29" s="27"/>
      <c r="F29" s="18">
        <f>F28-$H$27</f>
        <v>9</v>
      </c>
      <c r="G29" s="7">
        <f>$D$22/I29</f>
        <v>6.968433532016531</v>
      </c>
      <c r="H29" s="4"/>
      <c r="I29" s="6">
        <f>($C$25*F29/100)+SUM($D$26:$D$28)</f>
        <v>715418.438780084</v>
      </c>
      <c r="J29" s="154"/>
      <c r="K29" s="154"/>
    </row>
    <row r="30" spans="2:11" s="28" customFormat="1" ht="16.5" thickBot="1">
      <c r="B30" s="29" t="s">
        <v>11</v>
      </c>
      <c r="C30" s="30"/>
      <c r="D30" s="31">
        <f>D22/D29</f>
        <v>5.838417283581418</v>
      </c>
      <c r="E30" s="27"/>
      <c r="F30" s="153"/>
      <c r="G30" s="153"/>
      <c r="H30" s="155"/>
      <c r="I30" s="155"/>
      <c r="J30" s="155"/>
      <c r="K30" s="155"/>
    </row>
    <row r="31" ht="48" customHeight="1" thickBot="1">
      <c r="E31" s="2"/>
    </row>
    <row r="32" spans="2:12" ht="12.75" customHeight="1">
      <c r="B32" s="139" t="s">
        <v>40</v>
      </c>
      <c r="C32" s="140"/>
      <c r="D32" s="140"/>
      <c r="E32" s="140"/>
      <c r="F32" s="140"/>
      <c r="G32" s="140"/>
      <c r="H32" s="140"/>
      <c r="I32" s="140"/>
      <c r="J32" s="140"/>
      <c r="K32" s="141"/>
      <c r="L32" s="2"/>
    </row>
    <row r="33" spans="2:12" ht="12.75">
      <c r="B33" s="142"/>
      <c r="C33" s="143"/>
      <c r="D33" s="143"/>
      <c r="E33" s="143"/>
      <c r="F33" s="143"/>
      <c r="G33" s="143"/>
      <c r="H33" s="143"/>
      <c r="I33" s="143"/>
      <c r="J33" s="143"/>
      <c r="K33" s="144"/>
      <c r="L33" s="2"/>
    </row>
    <row r="34" spans="2:12" ht="12.75">
      <c r="B34" s="142"/>
      <c r="C34" s="143"/>
      <c r="D34" s="143"/>
      <c r="E34" s="143"/>
      <c r="F34" s="143"/>
      <c r="G34" s="143"/>
      <c r="H34" s="143"/>
      <c r="I34" s="143"/>
      <c r="J34" s="143"/>
      <c r="K34" s="144"/>
      <c r="L34" s="2"/>
    </row>
    <row r="35" spans="2:12" ht="13.5" thickBot="1"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2"/>
    </row>
  </sheetData>
  <sheetProtection/>
  <mergeCells count="11">
    <mergeCell ref="B2:K2"/>
    <mergeCell ref="C7:D7"/>
    <mergeCell ref="B32:K35"/>
    <mergeCell ref="C4:D4"/>
    <mergeCell ref="C5:D5"/>
    <mergeCell ref="C6:D6"/>
    <mergeCell ref="J28:K28"/>
    <mergeCell ref="J29:K29"/>
    <mergeCell ref="J30:K30"/>
    <mergeCell ref="F30:G30"/>
    <mergeCell ref="H30:I30"/>
  </mergeCells>
  <printOptions/>
  <pageMargins left="0.5" right="0.5" top="0.5" bottom="0.5" header="0.5" footer="0.5"/>
  <pageSetup fitToHeight="1" fitToWidth="1" horizontalDpi="600" verticalDpi="600" orientation="landscape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Halley Dickey</dc:creator>
  <cp:keywords/>
  <dc:description/>
  <cp:lastModifiedBy>Lab User</cp:lastModifiedBy>
  <cp:lastPrinted>2011-06-23T16:11:59Z</cp:lastPrinted>
  <dcterms:created xsi:type="dcterms:W3CDTF">2004-02-17T13:53:42Z</dcterms:created>
  <dcterms:modified xsi:type="dcterms:W3CDTF">2011-06-27T15:57:17Z</dcterms:modified>
  <cp:category/>
  <cp:version/>
  <cp:contentType/>
  <cp:contentStatus/>
</cp:coreProperties>
</file>